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<sst xmlns="http://schemas.openxmlformats.org/spreadsheetml/2006/main" count="73" uniqueCount="71">
  <si>
    <t>Valves</t>
  </si>
  <si>
    <t>Length</t>
  </si>
  <si>
    <t>Cents</t>
  </si>
  <si>
    <t>Actual</t>
  </si>
  <si>
    <t>Ideal</t>
  </si>
  <si>
    <t>t</t>
  </si>
  <si>
    <t>T</t>
  </si>
  <si>
    <t>t1</t>
  </si>
  <si>
    <t>t2</t>
  </si>
  <si>
    <t>2</t>
  </si>
  <si>
    <t>T2</t>
  </si>
  <si>
    <t>1</t>
  </si>
  <si>
    <t>T1</t>
  </si>
  <si>
    <t>t12</t>
  </si>
  <si>
    <t>12</t>
  </si>
  <si>
    <t>T12</t>
  </si>
  <si>
    <t>t3</t>
  </si>
  <si>
    <t>3</t>
  </si>
  <si>
    <t>T3</t>
  </si>
  <si>
    <t>t13</t>
  </si>
  <si>
    <t>13</t>
  </si>
  <si>
    <t>T13</t>
  </si>
  <si>
    <t>t123</t>
  </si>
  <si>
    <t>123</t>
  </si>
  <si>
    <t>T123</t>
  </si>
  <si>
    <t>t23</t>
  </si>
  <si>
    <t>23</t>
  </si>
  <si>
    <t>T23</t>
  </si>
  <si>
    <t>t4</t>
  </si>
  <si>
    <t>4</t>
  </si>
  <si>
    <t>T4</t>
  </si>
  <si>
    <t>t24</t>
  </si>
  <si>
    <t>24</t>
  </si>
  <si>
    <t>T24</t>
  </si>
  <si>
    <t>t14</t>
  </si>
  <si>
    <t>14</t>
  </si>
  <si>
    <t>T14</t>
  </si>
  <si>
    <t>t124</t>
  </si>
  <si>
    <t>124</t>
  </si>
  <si>
    <t>T124</t>
  </si>
  <si>
    <t>Degrees</t>
  </si>
  <si>
    <t>Alteration</t>
  </si>
  <si>
    <t>(Degrees)</t>
  </si>
  <si>
    <t>With 3rd</t>
  </si>
  <si>
    <t>Valve</t>
  </si>
  <si>
    <t>degrees span a perfect fifth</t>
  </si>
  <si>
    <t>Lowered</t>
  </si>
  <si>
    <t>Length of first valve tubing (1)</t>
  </si>
  <si>
    <t>Length of second valve tubing (2)</t>
  </si>
  <si>
    <t>Length of third valve tubing (3)</t>
  </si>
  <si>
    <t>Length of reverse thumb valve tubing (t)</t>
  </si>
  <si>
    <t>*</t>
  </si>
  <si>
    <t xml:space="preserve"> </t>
  </si>
  <si>
    <t>Length of thumb valve tubing (T)</t>
  </si>
  <si>
    <t>Depressed</t>
  </si>
  <si>
    <t>Using</t>
  </si>
  <si>
    <t>Alternate fingering only</t>
  </si>
  <si>
    <t xml:space="preserve">            Deviation</t>
  </si>
  <si>
    <t>If Used</t>
  </si>
  <si>
    <t>or 4th</t>
  </si>
  <si>
    <t>Compensated length</t>
  </si>
  <si>
    <t>None</t>
  </si>
  <si>
    <t>Equally Tempered Tones per Octave</t>
  </si>
  <si>
    <t>Effective Valve Tubing Length as Fraction of Open Length</t>
  </si>
  <si>
    <t>degree(s) shortfall in filling out an octave</t>
  </si>
  <si>
    <t>The 4th-valve combinations below are for the tuba or piccolo trumpet</t>
  </si>
  <si>
    <t>Length of fourth valve tubing (4) for tuba &amp; piccolo trumpet</t>
  </si>
  <si>
    <t>CHANGE the number in cell B3 to view setup for that division</t>
  </si>
  <si>
    <t>Valve Plan for 21st-Century Valved Brass Instruments by George D. Secor</t>
  </si>
  <si>
    <t>(using 3-position thumb valve in reverse position, moving the thumb in the reverse or unbended direction)</t>
  </si>
  <si>
    <t>Note: Divisions 26-ET and up require a 3-position thumb valve for which the thumb raises the pitch by moving in a reverse (unbending) direction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</si>
</sst>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9.7109375" style="0" customWidth="1"/>
    <col min="2" max="2" width="8.8515625" style="0" customWidth="1"/>
    <col min="3" max="3" width="9.421875" style="0" customWidth="1"/>
    <col min="4" max="4" width="9.28125" style="0" customWidth="1"/>
    <col min="5" max="5" width="11.8515625" style="0" customWidth="1"/>
    <col min="7" max="7" width="9.28125" style="0" customWidth="1"/>
  </cols>
  <sheetData>
    <row r="1" ht="12.75">
      <c r="A1" s="9" t="s">
        <v>68</v>
      </c>
    </row>
    <row r="2" spans="1:6" ht="12.75">
      <c r="A2" s="11" t="s">
        <v>67</v>
      </c>
      <c r="F2" s="11"/>
    </row>
    <row r="3" spans="1:10" ht="12.75">
      <c r="A3" s="10" t="s">
        <v>55</v>
      </c>
      <c r="B3" s="15">
        <v>31</v>
      </c>
      <c r="C3" s="9" t="s">
        <v>62</v>
      </c>
      <c r="G3" s="7" t="s">
        <v>60</v>
      </c>
      <c r="J3" s="1" t="s">
        <v>40</v>
      </c>
    </row>
    <row r="4" spans="1:10" ht="12.75">
      <c r="A4" s="7" t="s">
        <v>63</v>
      </c>
      <c r="F4" s="12" t="s">
        <v>58</v>
      </c>
      <c r="G4" s="13" t="s">
        <v>43</v>
      </c>
      <c r="H4" s="13" t="s">
        <v>59</v>
      </c>
      <c r="I4" s="8" t="s">
        <v>44</v>
      </c>
      <c r="J4" s="6" t="s">
        <v>46</v>
      </c>
    </row>
    <row r="5" spans="1:10" ht="12.75">
      <c r="A5" s="3">
        <f>($D$17-1)*1.072</f>
        <v>0.024239458964559646</v>
      </c>
      <c r="B5" t="s">
        <v>53</v>
      </c>
      <c r="G5" s="3">
        <f>A5*(1+$A$9)</f>
        <v>0.030313031595190987</v>
      </c>
      <c r="H5" s="3">
        <f>A5*(1+$A$10)</f>
        <v>0.038765596179286994</v>
      </c>
      <c r="J5" s="1">
        <v>1</v>
      </c>
    </row>
    <row r="6" spans="1:10" ht="12.75">
      <c r="A6" s="3">
        <f>($D$15-1)*1.124</f>
        <v>-0.02485328515897351</v>
      </c>
      <c r="B6" t="s">
        <v>50</v>
      </c>
      <c r="G6" s="3">
        <f>A6*(1+$A$9)</f>
        <v>-0.03108066146896121</v>
      </c>
      <c r="H6" s="3">
        <f>A6*(1+$A$10)</f>
        <v>-0.03974727396391525</v>
      </c>
      <c r="J6" s="1">
        <v>-1</v>
      </c>
    </row>
    <row r="7" spans="1:10" ht="12.75">
      <c r="A7" s="3">
        <f>$D$22-1+0.395*($D$25-$D$22-$D$19+1)</f>
        <v>0.12152851757990342</v>
      </c>
      <c r="B7" t="s">
        <v>47</v>
      </c>
      <c r="G7" s="3">
        <f>A7*(1+$A$9)</f>
        <v>0.15197937373530238</v>
      </c>
      <c r="H7" s="3">
        <f>A7*(1+$A$10)</f>
        <v>0.1943576976556293</v>
      </c>
      <c r="J7" s="1">
        <f>IF($B$3&lt;35,ROUND(LOG(9/8)/LOG(2)*$B$3,0),6)</f>
        <v>5</v>
      </c>
    </row>
    <row r="8" spans="1:10" ht="12.75">
      <c r="A8" s="3">
        <f>$D$19-1+0.35*($D$25-$D$22-$D$19+1)</f>
        <v>0.07225204611257083</v>
      </c>
      <c r="B8" t="s">
        <v>48</v>
      </c>
      <c r="G8" s="3">
        <f>A8*(1+$A$9)</f>
        <v>0.09035591758998422</v>
      </c>
      <c r="H8" s="3">
        <f>A8*(1+$A$10)</f>
        <v>0.11555099669601998</v>
      </c>
      <c r="J8" s="1">
        <f>IF($B$3&lt;35,ROUND(LOG(16/15)/LOG(2)*$B$3,0),3)</f>
        <v>3</v>
      </c>
    </row>
    <row r="9" spans="1:10" ht="12.75">
      <c r="A9" s="3">
        <f>$D$28-1</f>
        <v>0.25056551961458684</v>
      </c>
      <c r="B9" t="s">
        <v>49</v>
      </c>
      <c r="J9" s="1">
        <f>IF($B$3&lt;35,ROUND(LOG(5/4)/LOG(2)*$B$3,0),12)</f>
        <v>10</v>
      </c>
    </row>
    <row r="10" spans="1:11" ht="12.75">
      <c r="A10" s="3">
        <f>$D$41-1</f>
        <v>0.5992764622331679</v>
      </c>
      <c r="B10" t="s">
        <v>66</v>
      </c>
      <c r="G10" t="s">
        <v>52</v>
      </c>
      <c r="J10" s="2">
        <f>IF($B$3&lt;35,IF(ROUND(LOG(8/5)/LOG(2)*$B$3,0)&gt;$J$5+$J$7+$J$8+$J$9+2,$J$5+$J$7+$J$8+$J$9+2,ROUND(LOG(8/5)/LOG(2)*$B$3,0)),24)</f>
        <v>21</v>
      </c>
      <c r="K10" s="1"/>
    </row>
    <row r="11" spans="1:11" ht="12.75">
      <c r="A11" s="16" t="s">
        <v>70</v>
      </c>
      <c r="J11" s="2"/>
      <c r="K11" s="1"/>
    </row>
    <row r="13" spans="1:8" ht="12.75">
      <c r="A13" s="1" t="s">
        <v>0</v>
      </c>
      <c r="B13" s="1" t="s">
        <v>41</v>
      </c>
      <c r="C13" s="1" t="s">
        <v>3</v>
      </c>
      <c r="D13" s="1" t="s">
        <v>4</v>
      </c>
      <c r="E13" s="8" t="s">
        <v>57</v>
      </c>
      <c r="F13" s="8"/>
      <c r="G13" s="5" t="s">
        <v>51</v>
      </c>
      <c r="H13" t="s">
        <v>56</v>
      </c>
    </row>
    <row r="14" spans="1:8" ht="12.75">
      <c r="A14" s="6" t="s">
        <v>54</v>
      </c>
      <c r="B14" s="6" t="s">
        <v>42</v>
      </c>
      <c r="C14" s="6" t="s">
        <v>1</v>
      </c>
      <c r="D14" s="6" t="s">
        <v>1</v>
      </c>
      <c r="E14" s="6" t="s">
        <v>1</v>
      </c>
      <c r="F14" s="6" t="s">
        <v>2</v>
      </c>
      <c r="H14" t="s">
        <v>69</v>
      </c>
    </row>
    <row r="15" spans="1:7" ht="12.75">
      <c r="A15" s="1" t="s">
        <v>5</v>
      </c>
      <c r="B15" s="1">
        <f>$J$6</f>
        <v>-1</v>
      </c>
      <c r="C15" s="3">
        <f>1+$A$6</f>
        <v>0.9751467148410264</v>
      </c>
      <c r="D15" s="3">
        <f aca="true" t="shared" si="0" ref="D15:D38">2^(B15/$B$3)</f>
        <v>0.9778885363354328</v>
      </c>
      <c r="E15" s="3">
        <f>C15-D15</f>
        <v>-0.0027418214944063823</v>
      </c>
      <c r="F15" s="4">
        <f>LOG(C15/D15,2)*1200</f>
        <v>-4.860882918651174</v>
      </c>
      <c r="G15" t="str">
        <f>IF($B$3&lt;26,$G$13,$G$10)</f>
        <v> </v>
      </c>
    </row>
    <row r="16" spans="1:6" ht="12.75">
      <c r="A16" s="1" t="s">
        <v>61</v>
      </c>
      <c r="B16" s="1">
        <v>0</v>
      </c>
      <c r="C16" s="3">
        <v>1</v>
      </c>
      <c r="D16" s="3">
        <f t="shared" si="0"/>
        <v>1</v>
      </c>
      <c r="E16" s="3">
        <f aca="true" t="shared" si="1" ref="E16:E51">C16-D16</f>
        <v>0</v>
      </c>
      <c r="F16" s="4">
        <f>LOG(C16/D16,2)*1200</f>
        <v>0</v>
      </c>
    </row>
    <row r="17" spans="1:6" ht="12.75">
      <c r="A17" s="1" t="s">
        <v>6</v>
      </c>
      <c r="B17" s="1">
        <f>$J$5</f>
        <v>1</v>
      </c>
      <c r="C17" s="3">
        <f>1+$A$5</f>
        <v>1.0242394589645596</v>
      </c>
      <c r="D17" s="3">
        <f t="shared" si="0"/>
        <v>1.0226114356012683</v>
      </c>
      <c r="E17" s="3">
        <f t="shared" si="1"/>
        <v>0.0016280233632912644</v>
      </c>
      <c r="F17" s="4">
        <f>LOG(C17/D17,2)*1200</f>
        <v>2.7539769321170606</v>
      </c>
    </row>
    <row r="18" spans="1:7" ht="12.75">
      <c r="A18" s="1" t="s">
        <v>8</v>
      </c>
      <c r="B18" s="1">
        <f>$J$6+$J$8</f>
        <v>2</v>
      </c>
      <c r="C18" s="3">
        <f>1+$A$6+$A$8</f>
        <v>1.0473987609535973</v>
      </c>
      <c r="D18" s="3">
        <f t="shared" si="0"/>
        <v>1.0457341482224871</v>
      </c>
      <c r="E18" s="3">
        <f t="shared" si="1"/>
        <v>0.0016646127311101822</v>
      </c>
      <c r="F18" s="4">
        <f>LOG(C18/D18,2)*1200</f>
        <v>2.753609036026602</v>
      </c>
      <c r="G18" t="str">
        <f>IF($B$3&lt;26,$G$13,$G$10)</f>
        <v> </v>
      </c>
    </row>
    <row r="19" spans="1:6" ht="12.75">
      <c r="A19" s="2" t="s">
        <v>9</v>
      </c>
      <c r="B19" s="1">
        <f>$J$8</f>
        <v>3</v>
      </c>
      <c r="C19" s="3">
        <f>1+$A$8</f>
        <v>1.0722520461125709</v>
      </c>
      <c r="D19" s="3">
        <f t="shared" si="0"/>
        <v>1.0693796985710673</v>
      </c>
      <c r="E19" s="3">
        <f t="shared" si="1"/>
        <v>0.0028723475415035615</v>
      </c>
      <c r="F19" s="4">
        <f aca="true" t="shared" si="2" ref="F19:F51">LOG(C19/D19,2)*1200</f>
        <v>4.643850520610281</v>
      </c>
    </row>
    <row r="20" spans="1:6" ht="12.75">
      <c r="A20" s="1" t="s">
        <v>10</v>
      </c>
      <c r="B20" s="1">
        <f>$J$5+$J$8</f>
        <v>4</v>
      </c>
      <c r="C20" s="3">
        <f>1+$A$5+$A$8</f>
        <v>1.0964915050771304</v>
      </c>
      <c r="D20" s="3">
        <f t="shared" si="0"/>
        <v>1.0935599087586108</v>
      </c>
      <c r="E20" s="3">
        <f t="shared" si="1"/>
        <v>0.0029315963185196914</v>
      </c>
      <c r="F20" s="4">
        <f t="shared" si="2"/>
        <v>4.634852281591408</v>
      </c>
    </row>
    <row r="21" spans="1:7" ht="12.75">
      <c r="A21" s="1" t="s">
        <v>7</v>
      </c>
      <c r="B21" s="1">
        <f>$J$6+$J$7</f>
        <v>4</v>
      </c>
      <c r="C21" s="3">
        <f>1+$A$6+$A$7</f>
        <v>1.09667523242093</v>
      </c>
      <c r="D21" s="3">
        <f t="shared" si="0"/>
        <v>1.0935599087586108</v>
      </c>
      <c r="E21" s="3">
        <f t="shared" si="1"/>
        <v>0.003115323662319147</v>
      </c>
      <c r="F21" s="4">
        <f t="shared" si="2"/>
        <v>4.924912338253703</v>
      </c>
      <c r="G21" t="str">
        <f>IF($B$3&lt;26,$G$13,$G$10)</f>
        <v> </v>
      </c>
    </row>
    <row r="22" spans="1:6" ht="12.75">
      <c r="A22" s="2" t="s">
        <v>11</v>
      </c>
      <c r="B22" s="1">
        <f>$J$7</f>
        <v>5</v>
      </c>
      <c r="C22" s="3">
        <f>1+$A$7</f>
        <v>1.1215285175799035</v>
      </c>
      <c r="D22" s="3">
        <f t="shared" si="0"/>
        <v>1.1182868682116351</v>
      </c>
      <c r="E22" s="3">
        <f t="shared" si="1"/>
        <v>0.003241649368268318</v>
      </c>
      <c r="F22" s="4">
        <f t="shared" si="2"/>
        <v>5.011178792218413</v>
      </c>
    </row>
    <row r="23" spans="1:6" ht="12.75">
      <c r="A23" s="1" t="s">
        <v>12</v>
      </c>
      <c r="B23" s="1">
        <f>$J$5+$J$7</f>
        <v>6</v>
      </c>
      <c r="C23" s="3">
        <f>1+$A$5+$A$7</f>
        <v>1.145767976544463</v>
      </c>
      <c r="D23" s="3">
        <f t="shared" si="0"/>
        <v>1.1435729397159466</v>
      </c>
      <c r="E23" s="3">
        <f t="shared" si="1"/>
        <v>0.0021950368285164057</v>
      </c>
      <c r="F23" s="4">
        <f t="shared" si="2"/>
        <v>3.319840775125691</v>
      </c>
    </row>
    <row r="24" spans="1:7" ht="12.75">
      <c r="A24" s="1" t="s">
        <v>13</v>
      </c>
      <c r="B24" s="1">
        <f>$J$6+$J$7+$J$8</f>
        <v>7</v>
      </c>
      <c r="C24" s="3">
        <f>1+$A$6+$A$7+$A$8</f>
        <v>1.1689272785335008</v>
      </c>
      <c r="D24" s="3">
        <f t="shared" si="0"/>
        <v>1.169430765597687</v>
      </c>
      <c r="E24" s="3">
        <f t="shared" si="1"/>
        <v>-0.0005034870641862366</v>
      </c>
      <c r="F24" s="4">
        <f t="shared" si="2"/>
        <v>-0.7455265154469152</v>
      </c>
      <c r="G24" t="str">
        <f>IF($B$3&lt;26,$G$13,$G$10)</f>
        <v> </v>
      </c>
    </row>
    <row r="25" spans="1:8" ht="12.75">
      <c r="A25" s="2" t="s">
        <v>14</v>
      </c>
      <c r="B25" s="1">
        <f>$J$7+$J$8</f>
        <v>8</v>
      </c>
      <c r="C25" s="3">
        <f>1+$A$7+$A$8</f>
        <v>1.1937805636924743</v>
      </c>
      <c r="D25" s="3">
        <f t="shared" si="0"/>
        <v>1.1958732740441411</v>
      </c>
      <c r="E25" s="3">
        <f t="shared" si="1"/>
        <v>-0.0020927103516668044</v>
      </c>
      <c r="F25" s="4">
        <f t="shared" si="2"/>
        <v>-3.0322151975321914</v>
      </c>
      <c r="H25" s="3"/>
    </row>
    <row r="26" spans="1:8" ht="12.75">
      <c r="A26" s="1" t="s">
        <v>15</v>
      </c>
      <c r="B26" s="1">
        <f>$J$5+$J$7+$J$8</f>
        <v>9</v>
      </c>
      <c r="C26" s="3">
        <f>1+$A$5+$A$7+$A$8</f>
        <v>1.218020022657034</v>
      </c>
      <c r="D26" s="3">
        <f t="shared" si="0"/>
        <v>1.2229136855674683</v>
      </c>
      <c r="E26" s="3">
        <f t="shared" si="1"/>
        <v>-0.00489366291043436</v>
      </c>
      <c r="F26" s="4">
        <f t="shared" si="2"/>
        <v>-6.941677422401494</v>
      </c>
      <c r="H26" s="3"/>
    </row>
    <row r="27" spans="1:7" ht="12.75">
      <c r="A27" s="1" t="s">
        <v>16</v>
      </c>
      <c r="B27" s="1">
        <f>$J$6+$J$9</f>
        <v>9</v>
      </c>
      <c r="C27" s="3">
        <f>1+$G$6+$A$9</f>
        <v>1.2194848581456257</v>
      </c>
      <c r="D27" s="3">
        <f t="shared" si="0"/>
        <v>1.2229136855674683</v>
      </c>
      <c r="E27" s="3">
        <f t="shared" si="1"/>
        <v>-0.003428827421842584</v>
      </c>
      <c r="F27" s="4">
        <f t="shared" si="2"/>
        <v>-4.860882918650981</v>
      </c>
      <c r="G27" t="str">
        <f>IF($B$3&lt;26,$G$13,$G$10)</f>
        <v> </v>
      </c>
    </row>
    <row r="28" spans="1:6" ht="12.75">
      <c r="A28" s="2" t="s">
        <v>17</v>
      </c>
      <c r="B28" s="1">
        <f>$J$9</f>
        <v>10</v>
      </c>
      <c r="C28" s="3">
        <f>1+$A$9</f>
        <v>1.2505655196145868</v>
      </c>
      <c r="D28" s="3">
        <f t="shared" si="0"/>
        <v>1.2505655196145868</v>
      </c>
      <c r="E28" s="3">
        <f t="shared" si="1"/>
        <v>0</v>
      </c>
      <c r="F28" s="4">
        <f t="shared" si="2"/>
        <v>0</v>
      </c>
    </row>
    <row r="29" spans="1:6" ht="12.75">
      <c r="A29" s="1" t="s">
        <v>18</v>
      </c>
      <c r="B29" s="1">
        <f>$J$5+$J$9</f>
        <v>11</v>
      </c>
      <c r="C29" s="3">
        <f>1+$G$5+$A$9</f>
        <v>1.2808785512097778</v>
      </c>
      <c r="D29" s="3">
        <f t="shared" si="0"/>
        <v>1.2788426013265188</v>
      </c>
      <c r="E29" s="3">
        <f t="shared" si="1"/>
        <v>0.0020359498832589473</v>
      </c>
      <c r="F29" s="4">
        <f t="shared" si="2"/>
        <v>2.753976932116677</v>
      </c>
    </row>
    <row r="30" spans="1:7" ht="12.75">
      <c r="A30" s="1" t="s">
        <v>25</v>
      </c>
      <c r="B30" s="1">
        <f>$J$6+$J$8+$J$9</f>
        <v>12</v>
      </c>
      <c r="C30" s="3">
        <f>1+$G$6+$G$8+$A$9</f>
        <v>1.3098407757356099</v>
      </c>
      <c r="D30" s="3">
        <f t="shared" si="0"/>
        <v>1.307759068450572</v>
      </c>
      <c r="E30" s="3">
        <f t="shared" si="1"/>
        <v>0.0020817072850378704</v>
      </c>
      <c r="F30" s="4">
        <f t="shared" si="2"/>
        <v>2.753609036026602</v>
      </c>
      <c r="G30" t="str">
        <f>IF($B$3&lt;26,$G$13,$G$10)</f>
        <v> </v>
      </c>
    </row>
    <row r="31" spans="1:6" ht="12.75">
      <c r="A31" s="2" t="s">
        <v>26</v>
      </c>
      <c r="B31" s="1">
        <f>$J$8+$J$9</f>
        <v>13</v>
      </c>
      <c r="C31" s="3">
        <f>1+$G$8+$A$9</f>
        <v>1.340921437204571</v>
      </c>
      <c r="D31" s="3">
        <f t="shared" si="0"/>
        <v>1.337329378408817</v>
      </c>
      <c r="E31" s="3">
        <f t="shared" si="1"/>
        <v>0.003592058795754083</v>
      </c>
      <c r="F31" s="4">
        <f t="shared" si="2"/>
        <v>4.643850520610281</v>
      </c>
    </row>
    <row r="32" spans="1:6" ht="12.75">
      <c r="A32" s="1" t="s">
        <v>27</v>
      </c>
      <c r="B32" s="1">
        <f>$J$5+$J$8+$J$9</f>
        <v>14</v>
      </c>
      <c r="C32" s="3">
        <f>1+$G$5+$G$8+$A$9</f>
        <v>1.371234468799762</v>
      </c>
      <c r="D32" s="3">
        <f t="shared" si="0"/>
        <v>1.3675683155263922</v>
      </c>
      <c r="E32" s="3">
        <f t="shared" si="1"/>
        <v>0.003666153273369721</v>
      </c>
      <c r="F32" s="4">
        <f t="shared" si="2"/>
        <v>4.634852281591408</v>
      </c>
    </row>
    <row r="33" spans="1:7" ht="12.75">
      <c r="A33" s="1" t="s">
        <v>19</v>
      </c>
      <c r="B33" s="1">
        <f>$J$6+$J$7+$J$9</f>
        <v>14</v>
      </c>
      <c r="C33" s="3">
        <f>1+$G$6+$G$7+$A$9</f>
        <v>1.371464231880928</v>
      </c>
      <c r="D33" s="3">
        <f t="shared" si="0"/>
        <v>1.3675683155263922</v>
      </c>
      <c r="E33" s="3">
        <f t="shared" si="1"/>
        <v>0.003895916354535789</v>
      </c>
      <c r="F33" s="4">
        <f t="shared" si="2"/>
        <v>4.924912338253703</v>
      </c>
      <c r="G33" t="str">
        <f>IF($B$3&lt;26,$G$13,$G$10)</f>
        <v> </v>
      </c>
    </row>
    <row r="34" spans="1:6" ht="12.75">
      <c r="A34" s="2" t="s">
        <v>20</v>
      </c>
      <c r="B34" s="1">
        <f>$J$7+$J$9</f>
        <v>15</v>
      </c>
      <c r="C34" s="3">
        <f>1+$G$7+$A$9</f>
        <v>1.4025448933498892</v>
      </c>
      <c r="D34" s="3">
        <f t="shared" si="0"/>
        <v>1.3984909984232525</v>
      </c>
      <c r="E34" s="3">
        <f t="shared" si="1"/>
        <v>0.004053894926636659</v>
      </c>
      <c r="F34" s="4">
        <f t="shared" si="2"/>
        <v>5.011178792218413</v>
      </c>
    </row>
    <row r="35" spans="1:6" ht="12.75">
      <c r="A35" s="1" t="s">
        <v>21</v>
      </c>
      <c r="B35" s="1">
        <f>$J$5+$J$7+$J$9</f>
        <v>16</v>
      </c>
      <c r="C35" s="3">
        <f>1+$G$5+$G$7+$A$9</f>
        <v>1.4328579249450801</v>
      </c>
      <c r="D35" s="3">
        <f t="shared" si="0"/>
        <v>1.4301128875730533</v>
      </c>
      <c r="E35" s="3">
        <f t="shared" si="1"/>
        <v>0.002745037372026804</v>
      </c>
      <c r="F35" s="4">
        <f t="shared" si="2"/>
        <v>3.319840775125691</v>
      </c>
    </row>
    <row r="36" spans="1:7" ht="12.75">
      <c r="A36" s="1" t="s">
        <v>22</v>
      </c>
      <c r="B36" s="1">
        <f>$J$6+$J$7+$J$8+$J$9</f>
        <v>17</v>
      </c>
      <c r="C36" s="3">
        <f>1+$G$6+$G$7+$G$8+$A$9</f>
        <v>1.4618201494709122</v>
      </c>
      <c r="D36" s="3">
        <f t="shared" si="0"/>
        <v>1.4624497930329554</v>
      </c>
      <c r="E36" s="3">
        <f t="shared" si="1"/>
        <v>-0.0006296435620432028</v>
      </c>
      <c r="F36" s="4">
        <f t="shared" si="2"/>
        <v>-0.7455265154467229</v>
      </c>
      <c r="G36" t="str">
        <f>IF($B$3&lt;26,$G$13,$G$10)</f>
        <v> </v>
      </c>
    </row>
    <row r="37" spans="1:6" ht="12.75">
      <c r="A37" s="2" t="s">
        <v>23</v>
      </c>
      <c r="B37" s="1">
        <f>$J$7+$J$8+$J$9</f>
        <v>18</v>
      </c>
      <c r="C37" s="3">
        <f>1+$G$7+$G$8+$A$9</f>
        <v>1.4929008109398734</v>
      </c>
      <c r="D37" s="3">
        <f t="shared" si="0"/>
        <v>1.4955178823482085</v>
      </c>
      <c r="E37" s="3">
        <f t="shared" si="1"/>
        <v>-0.0026170714083351143</v>
      </c>
      <c r="F37" s="4">
        <f t="shared" si="2"/>
        <v>-3.0322151975321914</v>
      </c>
    </row>
    <row r="38" spans="1:6" ht="12.75">
      <c r="A38" s="1" t="s">
        <v>24</v>
      </c>
      <c r="B38" s="1">
        <f>$J$5+$J$7+$J$8+$J$9</f>
        <v>19</v>
      </c>
      <c r="C38" s="3">
        <f>1+$G$5+$G$7+$G$8+$A$9</f>
        <v>1.5232138425350643</v>
      </c>
      <c r="D38" s="3">
        <f t="shared" si="0"/>
        <v>1.5293336886354703</v>
      </c>
      <c r="E38" s="3">
        <f t="shared" si="1"/>
        <v>-0.006119846100405946</v>
      </c>
      <c r="F38" s="4">
        <f t="shared" si="2"/>
        <v>-6.941677422401494</v>
      </c>
    </row>
    <row r="39" spans="1:8" ht="12.75">
      <c r="A39" s="14" t="s">
        <v>65</v>
      </c>
      <c r="C39" s="3"/>
      <c r="D39" s="3"/>
      <c r="E39" s="3"/>
      <c r="F39" s="4"/>
      <c r="G39">
        <f>ROUND(LOG(3/2)/LOG(2)*$B$3,0)</f>
        <v>18</v>
      </c>
      <c r="H39" t="s">
        <v>45</v>
      </c>
    </row>
    <row r="40" spans="1:7" ht="12.75">
      <c r="A40" s="1" t="s">
        <v>28</v>
      </c>
      <c r="B40" s="1">
        <f>$J$6+$J$10</f>
        <v>20</v>
      </c>
      <c r="C40" s="3">
        <f>1+$H$6+$A$10</f>
        <v>1.5595291882692526</v>
      </c>
      <c r="D40" s="3">
        <f aca="true" t="shared" si="3" ref="D40:D51">2^(B40/$B$3)</f>
        <v>1.5639141188489016</v>
      </c>
      <c r="E40" s="3">
        <f t="shared" si="1"/>
        <v>-0.00438493057964906</v>
      </c>
      <c r="F40" s="4">
        <f t="shared" si="2"/>
        <v>-4.860882918651174</v>
      </c>
      <c r="G40" t="str">
        <f>IF($B$3&lt;26,$G$13,$G$10)</f>
        <v> </v>
      </c>
    </row>
    <row r="41" spans="1:6" ht="12.75">
      <c r="A41" s="2" t="s">
        <v>29</v>
      </c>
      <c r="B41" s="1">
        <f>$J$10</f>
        <v>21</v>
      </c>
      <c r="C41" s="3">
        <f>1+$A$10</f>
        <v>1.5992764622331679</v>
      </c>
      <c r="D41" s="3">
        <f t="shared" si="3"/>
        <v>1.5992764622331679</v>
      </c>
      <c r="E41" s="3">
        <f t="shared" si="1"/>
        <v>0</v>
      </c>
      <c r="F41" s="4">
        <f t="shared" si="2"/>
        <v>0</v>
      </c>
    </row>
    <row r="42" spans="1:6" ht="12.75">
      <c r="A42" s="1" t="s">
        <v>30</v>
      </c>
      <c r="B42" s="1">
        <f>$J$5+$J$10</f>
        <v>22</v>
      </c>
      <c r="C42" s="3">
        <f>1+$H$5+$A$10</f>
        <v>1.6380420584124549</v>
      </c>
      <c r="D42" s="3">
        <f t="shared" si="3"/>
        <v>1.6354383989675778</v>
      </c>
      <c r="E42" s="3">
        <f t="shared" si="1"/>
        <v>0.00260365944487706</v>
      </c>
      <c r="F42" s="4">
        <f t="shared" si="2"/>
        <v>2.753976932116677</v>
      </c>
    </row>
    <row r="43" spans="1:7" ht="12.75">
      <c r="A43" s="1" t="s">
        <v>31</v>
      </c>
      <c r="B43" s="1">
        <f>$J$6+$J$8+$J$10</f>
        <v>23</v>
      </c>
      <c r="C43" s="3">
        <f>1+$H$6+$H$8+$A$10</f>
        <v>1.6750801849652726</v>
      </c>
      <c r="D43" s="3">
        <f t="shared" si="3"/>
        <v>1.6724180090056746</v>
      </c>
      <c r="E43" s="3">
        <f t="shared" si="1"/>
        <v>0.0026621759595979455</v>
      </c>
      <c r="F43" s="4">
        <f t="shared" si="2"/>
        <v>2.753609036026602</v>
      </c>
      <c r="G43" t="str">
        <f>IF($B$3&lt;26,$G$13,$G$10)</f>
        <v> </v>
      </c>
    </row>
    <row r="44" spans="1:6" ht="12.75">
      <c r="A44" s="2" t="s">
        <v>32</v>
      </c>
      <c r="B44" s="1">
        <f>$J$8+$J$10</f>
        <v>24</v>
      </c>
      <c r="C44" s="3">
        <f>1+$H$8+$A$10</f>
        <v>1.7148274589291879</v>
      </c>
      <c r="D44" s="3">
        <f t="shared" si="3"/>
        <v>1.7102337811147081</v>
      </c>
      <c r="E44" s="3">
        <f t="shared" si="1"/>
        <v>0.004593677814479724</v>
      </c>
      <c r="F44" s="4">
        <f t="shared" si="2"/>
        <v>4.643850520609897</v>
      </c>
    </row>
    <row r="45" spans="1:6" ht="12.75">
      <c r="A45" s="1" t="s">
        <v>33</v>
      </c>
      <c r="B45" s="1">
        <f>$J$5+$J$8+$J$10</f>
        <v>25</v>
      </c>
      <c r="C45" s="3">
        <f>1+$H$5+$H$8+$A$10</f>
        <v>1.7535930551084749</v>
      </c>
      <c r="D45" s="3">
        <f t="shared" si="3"/>
        <v>1.748904622119497</v>
      </c>
      <c r="E45" s="3">
        <f t="shared" si="1"/>
        <v>0.004688432988977809</v>
      </c>
      <c r="F45" s="4">
        <f t="shared" si="2"/>
        <v>4.634852281591408</v>
      </c>
    </row>
    <row r="46" spans="1:7" ht="12.75">
      <c r="A46" s="1" t="s">
        <v>34</v>
      </c>
      <c r="B46" s="1">
        <f>$J$6+$J$7+$J$10</f>
        <v>25</v>
      </c>
      <c r="C46" s="3">
        <f>1+$H$6+$H$7+$A$10</f>
        <v>1.753886885924882</v>
      </c>
      <c r="D46" s="3">
        <f t="shared" si="3"/>
        <v>1.748904622119497</v>
      </c>
      <c r="E46" s="3">
        <f t="shared" si="1"/>
        <v>0.004982263805384912</v>
      </c>
      <c r="F46" s="4">
        <f t="shared" si="2"/>
        <v>4.924912338253703</v>
      </c>
      <c r="G46" t="str">
        <f>IF($B$3&lt;26,$G$13,$G$10)</f>
        <v> </v>
      </c>
    </row>
    <row r="47" spans="1:6" ht="12.75">
      <c r="A47" s="2" t="s">
        <v>35</v>
      </c>
      <c r="B47" s="1">
        <f>$J$7+$J$10</f>
        <v>26</v>
      </c>
      <c r="C47" s="3">
        <f>1+$H$7+$A$10</f>
        <v>1.7936341598887973</v>
      </c>
      <c r="D47" s="3">
        <f t="shared" si="3"/>
        <v>1.7884498663553128</v>
      </c>
      <c r="E47" s="3">
        <f t="shared" si="1"/>
        <v>0.005184293533484485</v>
      </c>
      <c r="F47" s="4">
        <f t="shared" si="2"/>
        <v>5.011178792218413</v>
      </c>
    </row>
    <row r="48" spans="1:6" ht="12.75">
      <c r="A48" s="1" t="s">
        <v>36</v>
      </c>
      <c r="B48" s="1">
        <f>$J$5+$J$7+$J$10</f>
        <v>27</v>
      </c>
      <c r="C48" s="3">
        <f>1+$H$5+$H$7+$A$10</f>
        <v>1.8323997560680843</v>
      </c>
      <c r="D48" s="3">
        <f t="shared" si="3"/>
        <v>1.8288892853345031</v>
      </c>
      <c r="E48" s="3">
        <f t="shared" si="1"/>
        <v>0.003510470733581128</v>
      </c>
      <c r="F48" s="4">
        <f t="shared" si="2"/>
        <v>3.319840775125691</v>
      </c>
    </row>
    <row r="49" spans="1:7" ht="12.75">
      <c r="A49" s="1" t="s">
        <v>37</v>
      </c>
      <c r="B49" s="1">
        <f>$J$6+$J$7+$J$8+$J$10</f>
        <v>28</v>
      </c>
      <c r="C49" s="3">
        <f>1+$H$6+$H$7+$H$8+$A$10</f>
        <v>1.869437882620902</v>
      </c>
      <c r="D49" s="3">
        <f t="shared" si="3"/>
        <v>1.870243097631694</v>
      </c>
      <c r="E49" s="3">
        <f t="shared" si="1"/>
        <v>-0.0008052150107920042</v>
      </c>
      <c r="F49" s="4">
        <f t="shared" si="2"/>
        <v>-0.7455265154469152</v>
      </c>
      <c r="G49" t="str">
        <f>IF($B$3&lt;26,$G$13,$G$10)</f>
        <v> </v>
      </c>
    </row>
    <row r="50" spans="1:6" ht="12.75">
      <c r="A50" s="2" t="s">
        <v>38</v>
      </c>
      <c r="B50" s="1">
        <f>$J$7+$J$8+$J$10</f>
        <v>29</v>
      </c>
      <c r="C50" s="3">
        <f>1+$H$7+$H$8+$A$10</f>
        <v>1.9091851565848172</v>
      </c>
      <c r="D50" s="3">
        <f t="shared" si="3"/>
        <v>1.9125319789925097</v>
      </c>
      <c r="E50" s="3">
        <f t="shared" si="1"/>
        <v>-0.0033468224076924624</v>
      </c>
      <c r="F50" s="4">
        <f t="shared" si="2"/>
        <v>-3.0322151975321914</v>
      </c>
    </row>
    <row r="51" spans="1:8" ht="12.75">
      <c r="A51" s="1" t="s">
        <v>39</v>
      </c>
      <c r="B51" s="1">
        <f>$J$5+$J$7+$J$8+$J$10</f>
        <v>30</v>
      </c>
      <c r="C51" s="3">
        <f>1+$H$5+$H$7+$H$8+$A$10</f>
        <v>1.9479507527641042</v>
      </c>
      <c r="D51" s="3">
        <f t="shared" si="3"/>
        <v>1.9557770726708654</v>
      </c>
      <c r="E51" s="3">
        <f t="shared" si="1"/>
        <v>-0.007826319906761192</v>
      </c>
      <c r="F51" s="4">
        <f t="shared" si="2"/>
        <v>-6.9416774224016855</v>
      </c>
      <c r="G51">
        <f>IF($B$3-B51&gt;2,$B$3-B51-2,0)</f>
        <v>0</v>
      </c>
      <c r="H51" t="s">
        <v>64</v>
      </c>
    </row>
    <row r="54" ht="12.75">
      <c r="F54" s="4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Roller Derby Skate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Secor</dc:creator>
  <cp:keywords/>
  <dc:description/>
  <cp:lastModifiedBy>George Secor</cp:lastModifiedBy>
  <dcterms:created xsi:type="dcterms:W3CDTF">2000-09-08T13:16:15Z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